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kadri.laube\Downloads\"/>
    </mc:Choice>
  </mc:AlternateContent>
  <xr:revisionPtr revIDLastSave="0" documentId="13_ncr:1_{7933CC3B-3AEC-454A-89E1-26E78A9650F7}" xr6:coauthVersionLast="47" xr6:coauthVersionMax="47" xr10:uidLastSave="{00000000-0000-0000-0000-000000000000}"/>
  <bookViews>
    <workbookView xWindow="-108" yWindow="-108" windowWidth="23256" windowHeight="12576" xr2:uid="{C3586D86-E146-42D8-A2EA-D40CB3652982}"/>
  </bookViews>
  <sheets>
    <sheet name="Elekter" sheetId="1" r:id="rId1"/>
    <sheet name="Gaas" sheetId="2" r:id="rId2"/>
    <sheet name="Sooju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5" i="1" l="1"/>
  <c r="H14" i="2" a="1"/>
  <c r="H14" i="2" s="1"/>
  <c r="G14" i="2"/>
  <c r="H5" i="2"/>
  <c r="E7" i="2" s="1"/>
  <c r="G16" i="2"/>
  <c r="H16" i="2" s="1"/>
  <c r="H9" i="1"/>
  <c r="L23" i="1"/>
  <c r="I23" i="1"/>
  <c r="D23" i="1"/>
  <c r="B23" i="1"/>
  <c r="C7" i="1"/>
  <c r="C6" i="1"/>
  <c r="M15" i="1"/>
  <c r="C10" i="2"/>
  <c r="C16" i="2" s="1"/>
  <c r="E15" i="1"/>
  <c r="C4" i="3"/>
  <c r="D9" i="3" s="1" a="1"/>
  <c r="D9" i="3" s="1"/>
  <c r="D14" i="2" l="1" a="1"/>
  <c r="D14" i="2" s="1"/>
  <c r="G17" i="2"/>
  <c r="G18" i="2" s="1"/>
  <c r="G15" i="2"/>
  <c r="H15" i="2" s="1"/>
  <c r="G11" i="2"/>
  <c r="C15" i="2"/>
  <c r="C14" i="2"/>
  <c r="D10" i="3"/>
  <c r="D11" i="3" s="1"/>
  <c r="D15" i="2"/>
  <c r="D16" i="2"/>
  <c r="C9" i="3"/>
  <c r="C10" i="3"/>
  <c r="H17" i="2" l="1"/>
  <c r="H18" i="2" s="1"/>
  <c r="I18" i="2" s="1"/>
  <c r="I19" i="2" s="1"/>
  <c r="D17" i="2"/>
  <c r="D18" i="2" s="1"/>
  <c r="C11" i="3"/>
  <c r="E11" i="3" s="1"/>
  <c r="E12" i="3" s="1"/>
  <c r="C17" i="2"/>
  <c r="C18" i="2" s="1"/>
  <c r="E18" i="2" l="1"/>
  <c r="E19" i="2" s="1"/>
  <c r="J9" i="1"/>
  <c r="B12" i="1"/>
  <c r="H10" i="1"/>
  <c r="J10" i="1" s="1"/>
  <c r="E17" i="1" l="1"/>
  <c r="D21" i="1" s="1" a="1"/>
  <c r="D21" i="1" s="1"/>
  <c r="H12" i="1"/>
  <c r="J12" i="1" s="1"/>
  <c r="H11" i="1"/>
  <c r="J11" i="1" s="1"/>
  <c r="J13" i="1" s="1"/>
  <c r="B22" i="1" s="1"/>
  <c r="I22" i="1" l="1"/>
  <c r="L22" i="1"/>
  <c r="I17" i="1"/>
  <c r="E18" i="1"/>
  <c r="D22" i="1"/>
  <c r="I21" i="1" l="1"/>
  <c r="I24" i="1" s="1"/>
  <c r="I25" i="1" s="1"/>
  <c r="B21" i="1"/>
  <c r="I18" i="1"/>
  <c r="M17" i="1"/>
  <c r="M18" i="1" s="1"/>
  <c r="L21" i="1" s="1"/>
  <c r="L24" i="1" s="1"/>
  <c r="L25" i="1" s="1"/>
  <c r="D24" i="1"/>
  <c r="D25" i="1" s="1"/>
  <c r="F22" i="1"/>
  <c r="B24" i="1" l="1"/>
  <c r="B25" i="1" s="1"/>
  <c r="B28" i="1" s="1"/>
  <c r="F21" i="1"/>
  <c r="F25" i="1" l="1"/>
  <c r="L28" i="1"/>
  <c r="D28" i="1"/>
  <c r="I2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<sst xmlns="http://schemas.openxmlformats.org/spreadsheetml/2006/main" count="142" uniqueCount="60">
  <si>
    <t>Tarbimine päeval</t>
  </si>
  <si>
    <t>Tarbimine öösel</t>
  </si>
  <si>
    <t>Tarbimine kokku</t>
  </si>
  <si>
    <t>Võrgutasu päev</t>
  </si>
  <si>
    <t>eur</t>
  </si>
  <si>
    <t>Fikseeritud kulutused, mis sõltuvad tarbitud energia kogusest:</t>
  </si>
  <si>
    <t>Kokku:</t>
  </si>
  <si>
    <t>Toetuseta</t>
  </si>
  <si>
    <t>Toetusega</t>
  </si>
  <si>
    <t>Tarbimine:</t>
  </si>
  <si>
    <t>Keskmine börsihind:</t>
  </si>
  <si>
    <t>eur/MWh</t>
  </si>
  <si>
    <t>senti/kWh</t>
  </si>
  <si>
    <t>Tarbitud elektri eest tuleb maksta:</t>
  </si>
  <si>
    <t>Lisandub võrgutasu, aktsiis, taastuvenergia tasu:</t>
  </si>
  <si>
    <t>Kokku arve:</t>
  </si>
  <si>
    <t>Käibemaks 20%:</t>
  </si>
  <si>
    <t>MWh</t>
  </si>
  <si>
    <t>Gaasi kodutarbija, €/MWh</t>
  </si>
  <si>
    <t>Kompensatsioonita</t>
  </si>
  <si>
    <t>Kompensatsiooniga</t>
  </si>
  <si>
    <t>Gaasi hind</t>
  </si>
  <si>
    <t>Võrgutasu</t>
  </si>
  <si>
    <t>Aktsiis</t>
  </si>
  <si>
    <t>Käibemaks</t>
  </si>
  <si>
    <t>KOKKU</t>
  </si>
  <si>
    <t>Tarbimine ühes kuus</t>
  </si>
  <si>
    <t>kWh</t>
  </si>
  <si>
    <t>Tarbitud energia eest</t>
  </si>
  <si>
    <t>Arve väiksem</t>
  </si>
  <si>
    <t>Soojuse hind</t>
  </si>
  <si>
    <t>Kuutasu korteri puhul nt:</t>
  </si>
  <si>
    <t>Kaugküttevõrgu kaudu jaotatud soojuse hinna leevendamiseks näeb käesolev määrus ette üle 80 €/MWh (käibemaksuta) hinnaga soojuse kulu kompenseerimise 80% ulatuses.</t>
  </si>
  <si>
    <t>Kuutasu</t>
  </si>
  <si>
    <t>Võrgutasu öö</t>
  </si>
  <si>
    <t>Taastuvenergiatasu</t>
  </si>
  <si>
    <t>Kompensatsioon müüjale</t>
  </si>
  <si>
    <t>Gaasimüüjale kompenseeritakse kodutarbija tegelikult tarbitud gaasihinna see osa, mille suurus ületab käibemaksuta 80 eurot MWh kohta, 80 protsendi ulatuses ning nimetatud summalt tasumisele kuuluv käibemaks.  Leibkonna kohta hüvitatakse kuni 2,6 MWh ehk kuni 251,7 kuupmeetri ulatuses gaasitarbimist  ühes kalendrikuus.</t>
  </si>
  <si>
    <t>eur/kWh</t>
  </si>
  <si>
    <t>Universaalteenuse hind:</t>
  </si>
  <si>
    <t>Universaalteenuse puhul on arve</t>
  </si>
  <si>
    <t>Võrdlus toetuseta paketiga</t>
  </si>
  <si>
    <t>eurot hinnavõitu</t>
  </si>
  <si>
    <t>Pakett fikseeritud hinnaga eur/MWh</t>
  </si>
  <si>
    <t>Kui on valitud pakett fikseeritud hinnaga eur/MWh</t>
  </si>
  <si>
    <t>Sisesta enda elamispinna ruutmeetrite arv (köetud pind):</t>
  </si>
  <si>
    <t>kWh aastas on soojuse energia vajadus.</t>
  </si>
  <si>
    <r>
      <t xml:space="preserve">Elektrimüüjale kompenseeritakse kodutarbija tegelikult tarbitud elektrienergia hinna see osa, mille suurus ületab kuus käibemaksuta 80 eurot megavatt-tunni (edaspidi </t>
    </r>
    <r>
      <rPr>
        <i/>
        <sz val="12"/>
        <color theme="0"/>
        <rFont val="Calibri"/>
        <family val="2"/>
        <charset val="186"/>
        <scheme val="minor"/>
      </rPr>
      <t>MWh</t>
    </r>
    <r>
      <rPr>
        <sz val="12"/>
        <color theme="0"/>
        <rFont val="Calibri"/>
        <family val="2"/>
        <charset val="186"/>
        <scheme val="minor"/>
      </rPr>
      <t>) kohta, kuid mitte rohkem kui 50 euro ulatuses MWh kohta ning nimetatud summalt tasumisele kuuluv käibemaks.</t>
    </r>
  </si>
  <si>
    <t>Sisestada siis vastavalt öine ja päevane tarbimine, ülejäänud tabelis võetakse automaatselt arvesse. Antud arvutust tasub teha kuu lõikes, kuna suvise ja talvise tarve ning hinnad võivad erineda liigselt.</t>
  </si>
  <si>
    <t>kwh/m3</t>
  </si>
  <si>
    <t>m3</t>
  </si>
  <si>
    <t>Ülempiirid</t>
  </si>
  <si>
    <t>Sisesta tarbitud gaasi maht  m3:</t>
  </si>
  <si>
    <t>eur/m3</t>
  </si>
  <si>
    <t>eurot</t>
  </si>
  <si>
    <t xml:space="preserve">eur/m3 </t>
  </si>
  <si>
    <t>ületuslik hind</t>
  </si>
  <si>
    <t>Toetuseta paketiga võrreldes</t>
  </si>
  <si>
    <t>Soojuse tarbija arveldus</t>
  </si>
  <si>
    <t>Sisesta enda elamispinna ruutmeetrite arv, kui on tegemist renoveeritud elamispinnaga (köetud pind):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</si>
</sst>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7" x14ac:knownFonts="1">
    <font>
      <sz val="11"/>
      <color theme="1"/>
      <name val="Calibri"/>
      <family val="2"/>
      <charset val="186"/>
      <scheme val="minor"/>
    </font>
    <font>
      <sz val="11"/>
      <color theme="1"/>
      <name val="Calibri"/>
      <family val="2"/>
      <charset val="186"/>
      <scheme val="minor"/>
    </font>
    <font>
      <b/>
      <sz val="14"/>
      <color theme="1"/>
      <name val="Calibri"/>
      <family val="2"/>
      <charset val="186"/>
      <scheme val="minor"/>
    </font>
    <font>
      <sz val="14"/>
      <color theme="1"/>
      <name val="Calibri"/>
      <family val="2"/>
      <charset val="186"/>
      <scheme val="minor"/>
    </font>
    <font>
      <b/>
      <i/>
      <sz val="14"/>
      <color theme="1"/>
      <name val="Calibri"/>
      <family val="2"/>
      <charset val="186"/>
      <scheme val="minor"/>
    </font>
    <font>
      <b/>
      <sz val="11"/>
      <color rgb="FF000000"/>
      <name val="Calibri"/>
      <family val="2"/>
      <charset val="186"/>
    </font>
    <font>
      <i/>
      <sz val="11"/>
      <color rgb="FF000000"/>
      <name val="Calibri"/>
      <family val="2"/>
      <charset val="186"/>
    </font>
    <font>
      <sz val="11"/>
      <color rgb="FF000000"/>
      <name val="Calibri"/>
      <family val="2"/>
      <charset val="186"/>
    </font>
    <font>
      <sz val="11"/>
      <color rgb="FF000000"/>
      <name val="Symbol"/>
      <family val="1"/>
      <charset val="2"/>
    </font>
    <font>
      <sz val="11"/>
      <color theme="0"/>
      <name val="Calibri"/>
      <family val="2"/>
      <charset val="186"/>
      <scheme val="minor"/>
    </font>
    <font>
      <sz val="14"/>
      <color theme="0"/>
      <name val="Calibri"/>
      <family val="2"/>
      <charset val="186"/>
      <scheme val="minor"/>
    </font>
    <font>
      <i/>
      <sz val="12"/>
      <color theme="0"/>
      <name val="Calibri"/>
      <family val="2"/>
      <charset val="186"/>
      <scheme val="minor"/>
    </font>
    <font>
      <sz val="12"/>
      <color theme="0"/>
      <name val="Calibri"/>
      <family val="2"/>
      <charset val="186"/>
      <scheme val="minor"/>
    </font>
    <font>
      <i/>
      <sz val="14"/>
      <color theme="1"/>
      <name val="Calibri"/>
      <family val="2"/>
      <charset val="186"/>
      <scheme val="minor"/>
    </font>
    <font>
      <b/>
      <sz val="18"/>
      <color theme="1"/>
      <name val="Calibri"/>
      <family val="2"/>
      <charset val="186"/>
      <scheme val="minor"/>
    </font>
    <font>
      <sz val="18"/>
      <color theme="1"/>
      <name val="Calibri"/>
      <family val="2"/>
      <charset val="186"/>
      <scheme val="minor"/>
    </font>
    <font>
      <b/>
      <sz val="11"/>
      <color theme="1"/>
      <name val="Calibri"/>
      <family val="2"/>
      <charset val="186"/>
      <scheme val="minor"/>
    </font>
  </fonts>
  <fills count="7">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2">
    <xf numFmtId="0" fontId="0" fillId="0" borderId="0" xfId="0"/>
    <xf numFmtId="0" fontId="3" fillId="0" borderId="0" xfId="0" applyFont="1" applyAlignment="1">
      <alignment wrapText="1"/>
    </xf>
    <xf numFmtId="0" fontId="3" fillId="0" borderId="0" xfId="0" applyFont="1"/>
    <xf numFmtId="0" fontId="3" fillId="0" borderId="1" xfId="0" applyFont="1" applyBorder="1"/>
    <xf numFmtId="0" fontId="4" fillId="0" borderId="1" xfId="0" applyFont="1" applyBorder="1"/>
    <xf numFmtId="43" fontId="3" fillId="0" borderId="1" xfId="1" applyFont="1" applyFill="1" applyBorder="1"/>
    <xf numFmtId="0" fontId="3" fillId="0" borderId="1" xfId="0" applyFont="1" applyBorder="1" applyAlignment="1">
      <alignment wrapText="1"/>
    </xf>
    <xf numFmtId="0" fontId="3" fillId="0" borderId="1" xfId="0" applyFont="1" applyBorder="1" applyAlignment="1">
      <alignment horizontal="right" wrapText="1"/>
    </xf>
    <xf numFmtId="0" fontId="3" fillId="0" borderId="0" xfId="0" applyFont="1" applyAlignment="1">
      <alignment horizontal="right" wrapText="1"/>
    </xf>
    <xf numFmtId="0" fontId="0" fillId="0" borderId="0" xfId="0" applyFill="1"/>
    <xf numFmtId="0" fontId="5"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horizontal="right" vertical="center"/>
    </xf>
    <xf numFmtId="0" fontId="5" fillId="0" borderId="5" xfId="0" applyFont="1" applyBorder="1" applyAlignment="1">
      <alignment vertical="center"/>
    </xf>
    <xf numFmtId="0" fontId="5" fillId="0" borderId="6" xfId="0" applyFont="1" applyBorder="1" applyAlignment="1">
      <alignment horizontal="right" vertical="center"/>
    </xf>
    <xf numFmtId="0" fontId="8" fillId="0" borderId="5" xfId="0" applyFont="1" applyBorder="1" applyAlignment="1">
      <alignment vertical="center"/>
    </xf>
    <xf numFmtId="0" fontId="7" fillId="0" borderId="6" xfId="0" applyFont="1" applyBorder="1" applyAlignment="1">
      <alignment vertical="center"/>
    </xf>
    <xf numFmtId="9" fontId="7" fillId="0" borderId="6" xfId="0" applyNumberFormat="1" applyFont="1" applyBorder="1" applyAlignment="1">
      <alignment horizontal="right" vertical="center"/>
    </xf>
    <xf numFmtId="0" fontId="0" fillId="2" borderId="0" xfId="0" applyFill="1"/>
    <xf numFmtId="9" fontId="0" fillId="0" borderId="0" xfId="2" applyFont="1"/>
    <xf numFmtId="0" fontId="0" fillId="0" borderId="1" xfId="0" applyBorder="1"/>
    <xf numFmtId="0" fontId="0" fillId="3" borderId="1" xfId="0" applyFill="1" applyBorder="1"/>
    <xf numFmtId="0" fontId="2" fillId="0" borderId="7" xfId="0" applyFont="1" applyBorder="1" applyAlignment="1">
      <alignment wrapText="1"/>
    </xf>
    <xf numFmtId="0" fontId="3" fillId="0" borderId="11" xfId="0" applyFont="1" applyBorder="1"/>
    <xf numFmtId="0" fontId="3" fillId="0" borderId="12" xfId="0" applyFont="1" applyBorder="1"/>
    <xf numFmtId="0" fontId="3" fillId="0" borderId="13" xfId="0" applyFont="1" applyBorder="1"/>
    <xf numFmtId="0" fontId="3" fillId="0" borderId="0" xfId="0" applyFont="1" applyBorder="1"/>
    <xf numFmtId="0" fontId="3" fillId="0" borderId="17" xfId="0" applyFont="1" applyBorder="1"/>
    <xf numFmtId="0" fontId="2" fillId="2" borderId="19" xfId="0" applyFont="1" applyFill="1" applyBorder="1" applyAlignment="1">
      <alignment wrapText="1"/>
    </xf>
    <xf numFmtId="43" fontId="3" fillId="2" borderId="20" xfId="1" applyFont="1" applyFill="1" applyBorder="1"/>
    <xf numFmtId="43" fontId="3" fillId="2" borderId="19" xfId="1" applyFont="1" applyFill="1" applyBorder="1"/>
    <xf numFmtId="0" fontId="3" fillId="0" borderId="21" xfId="0" applyFont="1" applyBorder="1"/>
    <xf numFmtId="0" fontId="3" fillId="0" borderId="22" xfId="0" applyFont="1" applyBorder="1"/>
    <xf numFmtId="0" fontId="3" fillId="0" borderId="8" xfId="0" applyFont="1" applyBorder="1" applyAlignment="1">
      <alignment horizontal="right" wrapText="1"/>
    </xf>
    <xf numFmtId="0" fontId="2" fillId="3" borderId="1" xfId="0" applyFont="1" applyFill="1" applyBorder="1"/>
    <xf numFmtId="0" fontId="2" fillId="0" borderId="1" xfId="0" applyFont="1" applyFill="1" applyBorder="1"/>
    <xf numFmtId="0" fontId="10" fillId="0" borderId="0" xfId="0" applyFont="1"/>
    <xf numFmtId="0" fontId="2" fillId="0" borderId="1" xfId="0" applyFont="1" applyBorder="1"/>
    <xf numFmtId="0" fontId="2" fillId="0" borderId="0" xfId="0" applyFont="1" applyAlignment="1">
      <alignment horizontal="right" wrapText="1"/>
    </xf>
    <xf numFmtId="0" fontId="3" fillId="0" borderId="14" xfId="0" applyFont="1" applyBorder="1" applyAlignment="1">
      <alignment horizontal="right" wrapText="1"/>
    </xf>
    <xf numFmtId="0" fontId="3" fillId="0" borderId="15" xfId="0" applyFont="1" applyBorder="1"/>
    <xf numFmtId="0" fontId="3" fillId="0" borderId="18" xfId="0" applyFont="1" applyBorder="1"/>
    <xf numFmtId="0" fontId="13" fillId="0" borderId="1" xfId="0" applyFont="1" applyBorder="1" applyAlignment="1">
      <alignment horizontal="right" wrapText="1"/>
    </xf>
    <xf numFmtId="0" fontId="13" fillId="0" borderId="1" xfId="0" applyFont="1" applyBorder="1"/>
    <xf numFmtId="0" fontId="13" fillId="0" borderId="0" xfId="0" applyFont="1"/>
    <xf numFmtId="0" fontId="13" fillId="0" borderId="2" xfId="0" applyFont="1" applyBorder="1" applyAlignment="1">
      <alignment wrapText="1"/>
    </xf>
    <xf numFmtId="0" fontId="13" fillId="0" borderId="1" xfId="0" applyFont="1" applyBorder="1" applyAlignment="1">
      <alignment wrapText="1"/>
    </xf>
    <xf numFmtId="0" fontId="13" fillId="0" borderId="2" xfId="0" applyFont="1" applyBorder="1"/>
    <xf numFmtId="0" fontId="14" fillId="0" borderId="8" xfId="0" applyFont="1" applyBorder="1" applyAlignment="1">
      <alignment horizontal="right" wrapText="1"/>
    </xf>
    <xf numFmtId="0" fontId="14" fillId="0" borderId="11" xfId="0" applyFont="1" applyBorder="1"/>
    <xf numFmtId="0" fontId="14" fillId="0" borderId="17" xfId="0" applyFont="1" applyBorder="1"/>
    <xf numFmtId="43" fontId="14" fillId="2" borderId="19" xfId="1" applyFont="1" applyFill="1" applyBorder="1"/>
    <xf numFmtId="0" fontId="14" fillId="0" borderId="1" xfId="0" applyFont="1" applyBorder="1"/>
    <xf numFmtId="0" fontId="14" fillId="0" borderId="0" xfId="0" applyFont="1"/>
    <xf numFmtId="0" fontId="14" fillId="0" borderId="0" xfId="0" applyFont="1" applyBorder="1"/>
    <xf numFmtId="0" fontId="15" fillId="0" borderId="0" xfId="0" applyFont="1" applyFill="1" applyBorder="1"/>
    <xf numFmtId="0" fontId="15" fillId="0" borderId="0" xfId="0" applyFont="1" applyBorder="1"/>
    <xf numFmtId="0" fontId="15" fillId="0" borderId="0" xfId="0" applyFont="1"/>
    <xf numFmtId="0" fontId="3" fillId="4" borderId="1" xfId="0" applyFont="1" applyFill="1" applyBorder="1"/>
    <xf numFmtId="0" fontId="2" fillId="2" borderId="2" xfId="0" applyFont="1" applyFill="1" applyBorder="1"/>
    <xf numFmtId="43" fontId="15" fillId="2" borderId="19" xfId="1" applyFont="1" applyFill="1" applyBorder="1"/>
    <xf numFmtId="0" fontId="15" fillId="0" borderId="1" xfId="0" applyFont="1" applyBorder="1"/>
    <xf numFmtId="0" fontId="15" fillId="5" borderId="8" xfId="0" applyFont="1" applyFill="1" applyBorder="1" applyAlignment="1">
      <alignment horizontal="right" wrapText="1"/>
    </xf>
    <xf numFmtId="0" fontId="15" fillId="5" borderId="11" xfId="0" applyFont="1" applyFill="1" applyBorder="1"/>
    <xf numFmtId="0" fontId="15" fillId="5" borderId="17" xfId="0" applyFont="1" applyFill="1" applyBorder="1"/>
    <xf numFmtId="0" fontId="15" fillId="5" borderId="8" xfId="0" applyFont="1" applyFill="1" applyBorder="1" applyAlignment="1">
      <alignment wrapText="1"/>
    </xf>
    <xf numFmtId="0" fontId="15" fillId="5" borderId="14" xfId="0" applyFont="1" applyFill="1" applyBorder="1"/>
    <xf numFmtId="0" fontId="15" fillId="5" borderId="18" xfId="0" applyFont="1" applyFill="1" applyBorder="1"/>
    <xf numFmtId="0" fontId="14" fillId="5" borderId="14" xfId="0" applyFont="1" applyFill="1" applyBorder="1"/>
    <xf numFmtId="0" fontId="14" fillId="5" borderId="18" xfId="0" applyFont="1" applyFill="1" applyBorder="1"/>
    <xf numFmtId="0" fontId="14" fillId="0" borderId="9" xfId="0" applyFont="1" applyBorder="1" applyAlignment="1">
      <alignment horizontal="right" wrapText="1"/>
    </xf>
    <xf numFmtId="0" fontId="15" fillId="3" borderId="10" xfId="0" applyFont="1" applyFill="1" applyBorder="1"/>
    <xf numFmtId="0" fontId="15" fillId="0" borderId="16" xfId="0" applyFont="1" applyBorder="1"/>
    <xf numFmtId="164" fontId="0" fillId="0" borderId="0" xfId="0" applyNumberFormat="1" applyFill="1"/>
    <xf numFmtId="0" fontId="0" fillId="0" borderId="1" xfId="0" applyFill="1" applyBorder="1"/>
    <xf numFmtId="164" fontId="7" fillId="0" borderId="6" xfId="0" applyNumberFormat="1" applyFont="1" applyBorder="1" applyAlignment="1">
      <alignment horizontal="right" vertical="center"/>
    </xf>
    <xf numFmtId="43" fontId="7" fillId="0" borderId="6" xfId="1" applyFont="1" applyBorder="1" applyAlignment="1">
      <alignment horizontal="right" vertical="center"/>
    </xf>
    <xf numFmtId="43" fontId="5" fillId="0" borderId="6" xfId="1" applyFont="1" applyBorder="1" applyAlignment="1">
      <alignment horizontal="right" vertical="center"/>
    </xf>
    <xf numFmtId="0" fontId="0" fillId="0" borderId="2" xfId="0" applyBorder="1"/>
    <xf numFmtId="43" fontId="0" fillId="0" borderId="2" xfId="1" applyFont="1" applyBorder="1"/>
    <xf numFmtId="164" fontId="0" fillId="0" borderId="1" xfId="0" applyNumberFormat="1" applyBorder="1"/>
    <xf numFmtId="0" fontId="0" fillId="6" borderId="1" xfId="0" applyFill="1" applyBorder="1" applyAlignment="1">
      <alignment horizontal="right" wrapText="1"/>
    </xf>
    <xf numFmtId="164" fontId="0" fillId="6" borderId="1" xfId="0" applyNumberFormat="1" applyFill="1" applyBorder="1"/>
    <xf numFmtId="0" fontId="16" fillId="0" borderId="1" xfId="0" applyFont="1" applyBorder="1"/>
    <xf numFmtId="164" fontId="16" fillId="0" borderId="1" xfId="0" applyNumberFormat="1" applyFont="1" applyFill="1" applyBorder="1"/>
    <xf numFmtId="0" fontId="16" fillId="0" borderId="1" xfId="0" applyFont="1" applyFill="1" applyBorder="1"/>
    <xf numFmtId="0" fontId="16" fillId="6" borderId="1" xfId="0" applyFont="1" applyFill="1" applyBorder="1"/>
    <xf numFmtId="0" fontId="9" fillId="0" borderId="0" xfId="0" applyFont="1"/>
    <xf numFmtId="164" fontId="9" fillId="0" borderId="0" xfId="0" applyNumberFormat="1" applyFont="1"/>
    <xf numFmtId="43" fontId="0" fillId="0" borderId="1" xfId="1" applyFont="1" applyBorder="1"/>
    <xf numFmtId="0" fontId="16" fillId="0" borderId="0" xfId="0" applyFont="1" applyFill="1" applyBorder="1"/>
    <xf numFmtId="43" fontId="0" fillId="0" borderId="0" xfId="1" applyFont="1" applyBorder="1"/>
    <xf numFmtId="0" fontId="9" fillId="0" borderId="0" xfId="0" applyFont="1" applyBorder="1" applyAlignment="1">
      <alignment horizontal="center" wrapText="1"/>
    </xf>
    <xf numFmtId="0" fontId="2" fillId="0" borderId="9" xfId="0" applyFont="1" applyBorder="1" applyAlignment="1">
      <alignment horizontal="center" wrapText="1"/>
    </xf>
    <xf numFmtId="0" fontId="2" fillId="0" borderId="16" xfId="0" applyFont="1" applyBorder="1" applyAlignment="1">
      <alignment horizontal="center" wrapText="1"/>
    </xf>
    <xf numFmtId="0" fontId="2" fillId="0" borderId="23" xfId="0" applyFont="1" applyBorder="1" applyAlignment="1">
      <alignment horizontal="right" wrapText="1"/>
    </xf>
    <xf numFmtId="0" fontId="3" fillId="0" borderId="0" xfId="0" applyFont="1" applyAlignment="1">
      <alignment horizontal="right" wrapText="1"/>
    </xf>
    <xf numFmtId="0" fontId="2" fillId="0" borderId="9" xfId="0" applyFont="1" applyBorder="1" applyAlignment="1">
      <alignment horizontal="center"/>
    </xf>
    <xf numFmtId="0" fontId="2" fillId="0" borderId="16" xfId="0" applyFont="1" applyBorder="1" applyAlignment="1">
      <alignment horizontal="center"/>
    </xf>
    <xf numFmtId="0" fontId="0" fillId="0" borderId="0" xfId="0" applyFont="1" applyBorder="1" applyAlignment="1">
      <alignment horizontal="center" wrapText="1"/>
    </xf>
    <xf numFmtId="0" fontId="0" fillId="0" borderId="0" xfId="0" applyAlignment="1">
      <alignment horizontal="center" wrapText="1"/>
    </xf>
  </cellXfs>
  <cellStyles count="3">
    <cellStyle name="Koma" xfId="1" builtinId="3"/>
    <cellStyle name="Normaallaad" xfId="0" builtinId="0"/>
    <cellStyle name="Prot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827016</xdr:colOff>
      <xdr:row>1</xdr:row>
      <xdr:rowOff>22945</xdr:rowOff>
    </xdr:from>
    <xdr:to>
      <xdr:col>2</xdr:col>
      <xdr:colOff>272405</xdr:colOff>
      <xdr:row>3</xdr:row>
      <xdr:rowOff>39834</xdr:rowOff>
    </xdr:to>
    <xdr:pic>
      <xdr:nvPicPr>
        <xdr:cNvPr id="2" name="Graphic 35" descr="For Sale with solid fill">
          <a:extLst>
            <a:ext uri="{FF2B5EF4-FFF2-40B4-BE49-F238E27FC236}">
              <a16:creationId xmlns:a16="http://schemas.microsoft.com/office/drawing/2014/main" id="{844D0196-E7E6-4C27-92E7-1659847D24F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32659" y="521874"/>
          <a:ext cx="488603" cy="488603"/>
        </a:xfrm>
        <a:prstGeom prst="rect">
          <a:avLst/>
        </a:prstGeom>
      </xdr:spPr>
    </xdr:pic>
    <xdr:clientData/>
  </xdr:twoCellAnchor>
  <xdr:twoCellAnchor editAs="oneCell">
    <xdr:from>
      <xdr:col>3</xdr:col>
      <xdr:colOff>941954</xdr:colOff>
      <xdr:row>0</xdr:row>
      <xdr:rowOff>184150</xdr:rowOff>
    </xdr:from>
    <xdr:to>
      <xdr:col>4</xdr:col>
      <xdr:colOff>119414</xdr:colOff>
      <xdr:row>3</xdr:row>
      <xdr:rowOff>141753</xdr:rowOff>
    </xdr:to>
    <xdr:pic>
      <xdr:nvPicPr>
        <xdr:cNvPr id="3" name="Graphic 36" descr="City with solid fill">
          <a:extLst>
            <a:ext uri="{FF2B5EF4-FFF2-40B4-BE49-F238E27FC236}">
              <a16:creationId xmlns:a16="http://schemas.microsoft.com/office/drawing/2014/main" id="{578BDF9E-8233-4675-80D7-2000F186CEA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396025" y="184150"/>
          <a:ext cx="801246" cy="801246"/>
        </a:xfrm>
        <a:prstGeom prst="rect">
          <a:avLst/>
        </a:prstGeom>
      </xdr:spPr>
    </xdr:pic>
    <xdr:clientData/>
  </xdr:twoCellAnchor>
  <xdr:twoCellAnchor>
    <xdr:from>
      <xdr:col>1</xdr:col>
      <xdr:colOff>45357</xdr:colOff>
      <xdr:row>3</xdr:row>
      <xdr:rowOff>34267</xdr:rowOff>
    </xdr:from>
    <xdr:to>
      <xdr:col>3</xdr:col>
      <xdr:colOff>254075</xdr:colOff>
      <xdr:row>4</xdr:row>
      <xdr:rowOff>145143</xdr:rowOff>
    </xdr:to>
    <xdr:sp macro="" textlink="">
      <xdr:nvSpPr>
        <xdr:cNvPr id="4" name="TextBox 37">
          <a:extLst>
            <a:ext uri="{FF2B5EF4-FFF2-40B4-BE49-F238E27FC236}">
              <a16:creationId xmlns:a16="http://schemas.microsoft.com/office/drawing/2014/main" id="{95A22843-D816-4C2A-98F3-331C14948312}"/>
            </a:ext>
          </a:extLst>
        </xdr:cNvPr>
        <xdr:cNvSpPr txBox="1"/>
      </xdr:nvSpPr>
      <xdr:spPr>
        <a:xfrm>
          <a:off x="2576286" y="877910"/>
          <a:ext cx="2131860" cy="1054304"/>
        </a:xfrm>
        <a:prstGeom prst="rect">
          <a:avLst/>
        </a:prstGeom>
        <a:noFill/>
        <a:ln w="19050">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t-EE" sz="1200" i="1"/>
            <a:t>Üksikmajad</a:t>
          </a:r>
          <a:r>
            <a:rPr lang="et-EE" sz="1200" i="1" baseline="0"/>
            <a:t> </a:t>
          </a:r>
          <a:endParaRPr lang="en-GB" sz="1200" i="1"/>
        </a:p>
        <a:p>
          <a:pPr algn="ctr"/>
          <a:r>
            <a:rPr lang="et-EE" sz="1200" b="1" i="1">
              <a:solidFill>
                <a:schemeClr val="tx2"/>
              </a:solidFill>
            </a:rPr>
            <a:t>Soojuse vajadus renoveerimata/renoveeritud</a:t>
          </a:r>
          <a:r>
            <a:rPr lang="en-GB" sz="1200" b="1" i="1">
              <a:solidFill>
                <a:schemeClr val="tx2"/>
              </a:solidFill>
            </a:rPr>
            <a:t>:</a:t>
          </a:r>
          <a:endParaRPr lang="et-EE" sz="1200" b="1" i="1">
            <a:solidFill>
              <a:schemeClr val="tx2"/>
            </a:solidFill>
          </a:endParaRPr>
        </a:p>
        <a:p>
          <a:pPr algn="ctr"/>
          <a:r>
            <a:rPr lang="en-GB" sz="1200" i="1"/>
            <a:t>190/95 kWh/m</a:t>
          </a:r>
          <a:r>
            <a:rPr lang="en-GB" sz="1200" i="1" baseline="30000"/>
            <a:t>2</a:t>
          </a:r>
          <a:r>
            <a:rPr lang="et-EE" sz="1200" i="1" baseline="0"/>
            <a:t>aastas</a:t>
          </a:r>
          <a:endParaRPr lang="en-GB" sz="1200" i="1" baseline="30000"/>
        </a:p>
        <a:p>
          <a:pPr algn="ctr"/>
          <a:r>
            <a:rPr lang="et-EE" sz="1200" b="1" i="1">
              <a:solidFill>
                <a:schemeClr val="tx2"/>
              </a:solidFill>
            </a:rPr>
            <a:t>Jahutus</a:t>
          </a:r>
          <a:r>
            <a:rPr lang="en-GB" sz="1200" b="1" i="1">
              <a:solidFill>
                <a:schemeClr val="tx2"/>
              </a:solidFill>
            </a:rPr>
            <a:t>: </a:t>
          </a:r>
          <a:r>
            <a:rPr lang="en-GB" sz="1200" i="1"/>
            <a:t>8 kWh/m</a:t>
          </a:r>
          <a:r>
            <a:rPr lang="en-GB" sz="1200" i="1" baseline="30000"/>
            <a:t>2</a:t>
          </a:r>
          <a:r>
            <a:rPr lang="et-EE" sz="1200" i="1" baseline="0"/>
            <a:t>aastas</a:t>
          </a:r>
          <a:endParaRPr lang="et-EE" sz="1200" i="1"/>
        </a:p>
        <a:p>
          <a:pPr algn="ctr"/>
          <a:endParaRPr lang="en-GB" sz="1200" i="1" baseline="30000"/>
        </a:p>
      </xdr:txBody>
    </xdr:sp>
    <xdr:clientData/>
  </xdr:twoCellAnchor>
  <xdr:twoCellAnchor>
    <xdr:from>
      <xdr:col>3</xdr:col>
      <xdr:colOff>314304</xdr:colOff>
      <xdr:row>3</xdr:row>
      <xdr:rowOff>47394</xdr:rowOff>
    </xdr:from>
    <xdr:to>
      <xdr:col>4</xdr:col>
      <xdr:colOff>822379</xdr:colOff>
      <xdr:row>4</xdr:row>
      <xdr:rowOff>163286</xdr:rowOff>
    </xdr:to>
    <xdr:sp macro="" textlink="">
      <xdr:nvSpPr>
        <xdr:cNvPr id="5" name="TextBox 38">
          <a:extLst>
            <a:ext uri="{FF2B5EF4-FFF2-40B4-BE49-F238E27FC236}">
              <a16:creationId xmlns:a16="http://schemas.microsoft.com/office/drawing/2014/main" id="{EAAFEEA6-76C9-4666-9D50-5F032A3791D8}"/>
            </a:ext>
          </a:extLst>
        </xdr:cNvPr>
        <xdr:cNvSpPr txBox="1"/>
      </xdr:nvSpPr>
      <xdr:spPr>
        <a:xfrm>
          <a:off x="4768375" y="891037"/>
          <a:ext cx="2131861" cy="1059320"/>
        </a:xfrm>
        <a:prstGeom prst="rect">
          <a:avLst/>
        </a:prstGeom>
        <a:noFill/>
        <a:ln w="19050">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t-EE" sz="1200" i="1"/>
            <a:t>Kortermajad</a:t>
          </a:r>
          <a:endParaRPr lang="en-GB" sz="1200" i="1"/>
        </a:p>
        <a:p>
          <a:pPr algn="ctr"/>
          <a:r>
            <a:rPr lang="et-EE" sz="1200" b="1" i="1">
              <a:solidFill>
                <a:schemeClr val="tx2"/>
              </a:solidFill>
            </a:rPr>
            <a:t>Soojusenergia vajadus renoveerimata/renoveeritud</a:t>
          </a:r>
          <a:r>
            <a:rPr lang="en-GB" sz="1200" b="1" i="1">
              <a:solidFill>
                <a:schemeClr val="tx2"/>
              </a:solidFill>
            </a:rPr>
            <a:t>:</a:t>
          </a:r>
          <a:endParaRPr lang="et-EE" sz="1200" b="1" i="1">
            <a:solidFill>
              <a:schemeClr val="tx2"/>
            </a:solidFill>
          </a:endParaRPr>
        </a:p>
        <a:p>
          <a:pPr algn="ctr"/>
          <a:r>
            <a:rPr lang="en-GB" sz="1200" i="1"/>
            <a:t>170/70 kWh/m</a:t>
          </a:r>
          <a:r>
            <a:rPr lang="en-GB" sz="1200" i="1" baseline="30000"/>
            <a:t>2</a:t>
          </a:r>
          <a:r>
            <a:rPr lang="et-EE" sz="1200" i="1" baseline="0"/>
            <a:t>aastas</a:t>
          </a:r>
          <a:r>
            <a:rPr lang="en-GB" sz="1200" i="1"/>
            <a:t> </a:t>
          </a:r>
          <a:r>
            <a:rPr lang="et-EE" sz="1200" b="1" i="1">
              <a:solidFill>
                <a:schemeClr val="tx2"/>
              </a:solidFill>
            </a:rPr>
            <a:t>Jahutus</a:t>
          </a:r>
          <a:r>
            <a:rPr lang="en-GB" sz="1200" b="1" i="1">
              <a:solidFill>
                <a:schemeClr val="tx2"/>
              </a:solidFill>
            </a:rPr>
            <a:t>: </a:t>
          </a:r>
          <a:r>
            <a:rPr lang="en-GB" sz="1200" i="1"/>
            <a:t>8 kWh/m</a:t>
          </a:r>
          <a:r>
            <a:rPr lang="en-GB" sz="1200" i="1" baseline="30000"/>
            <a:t>2</a:t>
          </a:r>
          <a:r>
            <a:rPr lang="en-GB" sz="1200" i="1"/>
            <a:t>y</a:t>
          </a:r>
          <a:endParaRPr lang="en-GB" sz="1200" i="1" baseline="30000"/>
        </a:p>
      </xdr:txBody>
    </xdr:sp>
    <xdr:clientData/>
  </xdr:twoCellAnchor>
  <xdr:twoCellAnchor editAs="oneCell">
    <xdr:from>
      <xdr:col>5</xdr:col>
      <xdr:colOff>135820</xdr:colOff>
      <xdr:row>1</xdr:row>
      <xdr:rowOff>4802</xdr:rowOff>
    </xdr:from>
    <xdr:to>
      <xdr:col>5</xdr:col>
      <xdr:colOff>680163</xdr:colOff>
      <xdr:row>3</xdr:row>
      <xdr:rowOff>77431</xdr:rowOff>
    </xdr:to>
    <xdr:pic>
      <xdr:nvPicPr>
        <xdr:cNvPr id="6" name="Graphic 39" descr="Court with solid fill">
          <a:extLst>
            <a:ext uri="{FF2B5EF4-FFF2-40B4-BE49-F238E27FC236}">
              <a16:creationId xmlns:a16="http://schemas.microsoft.com/office/drawing/2014/main" id="{63CF689F-A214-4870-95B2-A940A3FB349A}"/>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875891" y="739588"/>
          <a:ext cx="544343" cy="544343"/>
        </a:xfrm>
        <a:prstGeom prst="rect">
          <a:avLst/>
        </a:prstGeom>
      </xdr:spPr>
    </xdr:pic>
    <xdr:clientData/>
  </xdr:twoCellAnchor>
  <xdr:twoCellAnchor>
    <xdr:from>
      <xdr:col>4</xdr:col>
      <xdr:colOff>882609</xdr:colOff>
      <xdr:row>3</xdr:row>
      <xdr:rowOff>56463</xdr:rowOff>
    </xdr:from>
    <xdr:to>
      <xdr:col>5</xdr:col>
      <xdr:colOff>1426969</xdr:colOff>
      <xdr:row>4</xdr:row>
      <xdr:rowOff>145142</xdr:rowOff>
    </xdr:to>
    <xdr:sp macro="" textlink="">
      <xdr:nvSpPr>
        <xdr:cNvPr id="7" name="TextBox 40">
          <a:extLst>
            <a:ext uri="{FF2B5EF4-FFF2-40B4-BE49-F238E27FC236}">
              <a16:creationId xmlns:a16="http://schemas.microsoft.com/office/drawing/2014/main" id="{0CFD3441-189E-43E1-A4E8-0FAF5FFADA55}"/>
            </a:ext>
          </a:extLst>
        </xdr:cNvPr>
        <xdr:cNvSpPr txBox="1"/>
      </xdr:nvSpPr>
      <xdr:spPr>
        <a:xfrm>
          <a:off x="6960466" y="900106"/>
          <a:ext cx="2131860" cy="1032107"/>
        </a:xfrm>
        <a:prstGeom prst="rect">
          <a:avLst/>
        </a:prstGeom>
        <a:noFill/>
        <a:ln w="19050">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t-EE" sz="1200" i="1"/>
            <a:t>Avalikud hooned</a:t>
          </a:r>
          <a:endParaRPr lang="en-GB" sz="1200" i="1"/>
        </a:p>
        <a:p>
          <a:pPr algn="ctr"/>
          <a:r>
            <a:rPr lang="et-EE" sz="1200" b="1" i="1">
              <a:solidFill>
                <a:schemeClr val="tx2"/>
              </a:solidFill>
            </a:rPr>
            <a:t>Soojusenergia</a:t>
          </a:r>
          <a:r>
            <a:rPr lang="et-EE" sz="1200" b="1" i="1" baseline="0">
              <a:solidFill>
                <a:schemeClr val="tx2"/>
              </a:solidFill>
            </a:rPr>
            <a:t> vajadus renoveerimata/renoveeritud</a:t>
          </a:r>
          <a:r>
            <a:rPr lang="en-GB" sz="1200" b="1" i="1">
              <a:solidFill>
                <a:schemeClr val="tx2"/>
              </a:solidFill>
            </a:rPr>
            <a:t>: </a:t>
          </a:r>
          <a:r>
            <a:rPr lang="en-GB" sz="1200" i="1"/>
            <a:t>211/106 kWh/m</a:t>
          </a:r>
          <a:r>
            <a:rPr lang="en-GB" sz="1200" i="1" baseline="30000"/>
            <a:t>2</a:t>
          </a:r>
          <a:r>
            <a:rPr lang="en-GB" sz="1200" i="1"/>
            <a:t>y </a:t>
          </a:r>
          <a:endParaRPr lang="et-EE" sz="1200" i="1"/>
        </a:p>
        <a:p>
          <a:pPr algn="ctr"/>
          <a:r>
            <a:rPr lang="et-EE" sz="1200" b="1" i="1">
              <a:solidFill>
                <a:schemeClr val="tx2"/>
              </a:solidFill>
            </a:rPr>
            <a:t>Jahutus</a:t>
          </a:r>
          <a:r>
            <a:rPr lang="en-GB" sz="1200" b="1" i="1">
              <a:solidFill>
                <a:schemeClr val="tx2"/>
              </a:solidFill>
            </a:rPr>
            <a:t>: </a:t>
          </a:r>
          <a:r>
            <a:rPr lang="en-GB" sz="1200" i="1"/>
            <a:t>37.5 kWh/m</a:t>
          </a:r>
          <a:r>
            <a:rPr lang="en-GB" sz="1200" i="1" baseline="30000"/>
            <a:t>2</a:t>
          </a:r>
          <a:r>
            <a:rPr lang="en-GB" sz="1200" i="1"/>
            <a:t>y</a:t>
          </a:r>
          <a:endParaRPr lang="en-GB" sz="1200" i="1" baseline="300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049-90BA-4305-A278-B58A3A604509}">
  <dimension ref="A1:N29"/>
  <sheetViews>
    <sheetView showGridLines="0" tabSelected="1" topLeftCell="A6" zoomScale="55" zoomScaleNormal="55" workbookViewId="0">
      <selection activeCell="J7" sqref="J7"/>
    </sheetView>
  </sheetViews>
  <sheetFormatPr defaultColWidth="8.77734375" defaultRowHeight="18" x14ac:dyDescent="0.35"/>
  <cols>
    <col min="1" max="1" width="36.21875" style="1" customWidth="1"/>
    <col min="2" max="2" width="14.88671875" style="2" customWidth="1"/>
    <col min="3" max="3" width="12.5546875" style="2" bestFit="1" customWidth="1"/>
    <col min="4" max="4" width="23.21875" style="2" bestFit="1" customWidth="1"/>
    <col min="5" max="5" width="24.33203125" style="2" bestFit="1" customWidth="1"/>
    <col min="6" max="6" width="22.21875" style="2" customWidth="1"/>
    <col min="7" max="7" width="13.5546875" style="2" customWidth="1"/>
    <col min="8" max="8" width="23.44140625" style="2" customWidth="1"/>
    <col min="9" max="9" width="8.77734375" style="2"/>
    <col min="10" max="10" width="24.33203125" style="2" bestFit="1" customWidth="1"/>
    <col min="11" max="11" width="8.77734375" style="2"/>
    <col min="12" max="12" width="20.77734375" style="2" customWidth="1"/>
    <col min="13" max="13" width="24.33203125" style="2" bestFit="1" customWidth="1"/>
    <col min="14" max="14" width="15.109375" style="2" bestFit="1" customWidth="1"/>
    <col min="15" max="16384" width="8.77734375" style="2"/>
  </cols>
  <sheetData>
    <row r="1" spans="1:14" ht="29.55" customHeight="1" x14ac:dyDescent="0.35">
      <c r="A1" s="93" t="s">
        <v>47</v>
      </c>
      <c r="B1" s="93"/>
      <c r="C1" s="93"/>
      <c r="D1" s="93"/>
      <c r="E1" s="93"/>
      <c r="F1" s="93"/>
      <c r="G1" s="93"/>
      <c r="H1" s="93"/>
      <c r="I1" s="93"/>
      <c r="J1" s="93"/>
    </row>
    <row r="3" spans="1:14" x14ac:dyDescent="0.35">
      <c r="D3" s="1"/>
    </row>
    <row r="4" spans="1:14" x14ac:dyDescent="0.35">
      <c r="A4" s="39"/>
    </row>
    <row r="5" spans="1:14" x14ac:dyDescent="0.35">
      <c r="B5" s="37">
        <v>190</v>
      </c>
      <c r="C5" s="37">
        <v>95</v>
      </c>
    </row>
    <row r="6" spans="1:14" ht="54" x14ac:dyDescent="0.35">
      <c r="A6" s="7" t="s">
        <v>45</v>
      </c>
      <c r="B6" s="59">
        <v>100</v>
      </c>
      <c r="C6" s="38">
        <f>B6*B5</f>
        <v>19000</v>
      </c>
      <c r="D6" s="6" t="s">
        <v>46</v>
      </c>
    </row>
    <row r="7" spans="1:14" ht="72" x14ac:dyDescent="0.35">
      <c r="A7" s="7" t="s">
        <v>59</v>
      </c>
      <c r="B7" s="59">
        <v>100</v>
      </c>
      <c r="C7" s="38">
        <f>B7*C5</f>
        <v>9500</v>
      </c>
      <c r="D7" s="6" t="s">
        <v>46</v>
      </c>
    </row>
    <row r="9" spans="1:14" ht="18.45" customHeight="1" x14ac:dyDescent="0.35">
      <c r="A9" s="3" t="s">
        <v>33</v>
      </c>
      <c r="B9" s="35">
        <v>5</v>
      </c>
      <c r="C9" s="3" t="s">
        <v>4</v>
      </c>
      <c r="D9" s="96" t="s">
        <v>5</v>
      </c>
      <c r="E9" s="3" t="s">
        <v>3</v>
      </c>
      <c r="F9" s="4">
        <v>4.9200000000000001E-2</v>
      </c>
      <c r="G9" s="4" t="s">
        <v>38</v>
      </c>
      <c r="H9" s="3">
        <f>B10</f>
        <v>500</v>
      </c>
      <c r="I9" s="3" t="s">
        <v>27</v>
      </c>
      <c r="J9" s="3">
        <f>H9*F9</f>
        <v>24.6</v>
      </c>
      <c r="K9" s="2" t="s">
        <v>4</v>
      </c>
    </row>
    <row r="10" spans="1:14" x14ac:dyDescent="0.35">
      <c r="A10" s="3" t="s">
        <v>0</v>
      </c>
      <c r="B10" s="35">
        <v>500</v>
      </c>
      <c r="C10" s="3" t="s">
        <v>27</v>
      </c>
      <c r="D10" s="96"/>
      <c r="E10" s="3" t="s">
        <v>34</v>
      </c>
      <c r="F10" s="4">
        <v>2.8500000000000001E-2</v>
      </c>
      <c r="G10" s="4" t="s">
        <v>38</v>
      </c>
      <c r="H10" s="3">
        <f>B11</f>
        <v>500</v>
      </c>
      <c r="I10" s="3" t="s">
        <v>27</v>
      </c>
      <c r="J10" s="3">
        <f>H10*F10</f>
        <v>14.25</v>
      </c>
      <c r="K10" s="2" t="s">
        <v>4</v>
      </c>
    </row>
    <row r="11" spans="1:14" x14ac:dyDescent="0.35">
      <c r="A11" s="3" t="s">
        <v>1</v>
      </c>
      <c r="B11" s="35">
        <v>500</v>
      </c>
      <c r="C11" s="3" t="s">
        <v>27</v>
      </c>
      <c r="D11" s="96"/>
      <c r="E11" s="3" t="s">
        <v>35</v>
      </c>
      <c r="F11" s="4">
        <v>1.1299999999999999E-2</v>
      </c>
      <c r="G11" s="4" t="s">
        <v>38</v>
      </c>
      <c r="H11" s="3">
        <f>B12</f>
        <v>1000</v>
      </c>
      <c r="I11" s="3" t="s">
        <v>27</v>
      </c>
      <c r="J11" s="3">
        <f>H11*F11</f>
        <v>11.299999999999999</v>
      </c>
      <c r="K11" s="2" t="s">
        <v>4</v>
      </c>
    </row>
    <row r="12" spans="1:14" x14ac:dyDescent="0.35">
      <c r="A12" s="3" t="s">
        <v>2</v>
      </c>
      <c r="B12" s="36">
        <f>B11+B10</f>
        <v>1000</v>
      </c>
      <c r="C12" s="3" t="s">
        <v>27</v>
      </c>
      <c r="D12" s="23"/>
      <c r="E12" s="5" t="s">
        <v>23</v>
      </c>
      <c r="F12" s="4">
        <v>1E-3</v>
      </c>
      <c r="G12" s="4" t="s">
        <v>38</v>
      </c>
      <c r="H12" s="3">
        <f>B12</f>
        <v>1000</v>
      </c>
      <c r="I12" s="3" t="s">
        <v>27</v>
      </c>
      <c r="J12" s="3">
        <f>H12*F12</f>
        <v>1</v>
      </c>
      <c r="K12" s="2" t="s">
        <v>4</v>
      </c>
    </row>
    <row r="13" spans="1:14" ht="18.600000000000001" thickBot="1" x14ac:dyDescent="0.4">
      <c r="I13" s="60" t="s">
        <v>6</v>
      </c>
      <c r="J13" s="60">
        <f>SUM(J9:J12)</f>
        <v>51.15</v>
      </c>
    </row>
    <row r="14" spans="1:14" ht="103.95" customHeight="1" x14ac:dyDescent="0.45">
      <c r="A14" s="97" t="s">
        <v>48</v>
      </c>
      <c r="B14" s="97"/>
      <c r="D14" s="71" t="s">
        <v>10</v>
      </c>
      <c r="E14" s="72">
        <v>300</v>
      </c>
      <c r="F14" s="73" t="s">
        <v>11</v>
      </c>
      <c r="H14" s="71" t="s">
        <v>39</v>
      </c>
      <c r="I14" s="72">
        <v>190</v>
      </c>
      <c r="J14" s="73" t="s">
        <v>11</v>
      </c>
      <c r="L14" s="71" t="s">
        <v>43</v>
      </c>
      <c r="M14" s="72">
        <v>200</v>
      </c>
      <c r="N14" s="73" t="s">
        <v>11</v>
      </c>
    </row>
    <row r="15" spans="1:14" ht="18.600000000000001" thickBot="1" x14ac:dyDescent="0.4">
      <c r="D15" s="40"/>
      <c r="E15" s="41">
        <f>E14*100/1000</f>
        <v>30</v>
      </c>
      <c r="F15" s="42" t="s">
        <v>12</v>
      </c>
      <c r="H15" s="40"/>
      <c r="I15" s="41">
        <f>I14*100/1000</f>
        <v>19</v>
      </c>
      <c r="J15" s="42" t="s">
        <v>12</v>
      </c>
      <c r="L15" s="40"/>
      <c r="M15" s="41">
        <f>M14*100/1000</f>
        <v>20</v>
      </c>
      <c r="N15" s="42" t="s">
        <v>12</v>
      </c>
    </row>
    <row r="16" spans="1:14" x14ac:dyDescent="0.35">
      <c r="D16" s="8"/>
      <c r="H16" s="8"/>
      <c r="L16" s="8"/>
    </row>
    <row r="17" spans="1:14" x14ac:dyDescent="0.35">
      <c r="D17" s="43" t="s">
        <v>9</v>
      </c>
      <c r="E17" s="44">
        <f>B12</f>
        <v>1000</v>
      </c>
      <c r="F17" s="44" t="s">
        <v>27</v>
      </c>
      <c r="H17" s="43" t="s">
        <v>9</v>
      </c>
      <c r="I17" s="44">
        <f>E17</f>
        <v>1000</v>
      </c>
      <c r="J17" s="44" t="s">
        <v>27</v>
      </c>
      <c r="K17" s="45"/>
      <c r="L17" s="43" t="s">
        <v>9</v>
      </c>
      <c r="M17" s="44">
        <f>I17</f>
        <v>1000</v>
      </c>
      <c r="N17" s="44" t="s">
        <v>27</v>
      </c>
    </row>
    <row r="18" spans="1:14" ht="18.600000000000001" thickBot="1" x14ac:dyDescent="0.4">
      <c r="D18" s="46"/>
      <c r="E18" s="44">
        <f>E17/1000</f>
        <v>1</v>
      </c>
      <c r="F18" s="44" t="s">
        <v>17</v>
      </c>
      <c r="H18" s="47"/>
      <c r="I18" s="48">
        <f>I17/1000</f>
        <v>1</v>
      </c>
      <c r="J18" s="48" t="s">
        <v>17</v>
      </c>
      <c r="K18" s="45"/>
      <c r="L18" s="46"/>
      <c r="M18" s="48">
        <f>M17/1000</f>
        <v>1</v>
      </c>
      <c r="N18" s="44" t="s">
        <v>17</v>
      </c>
    </row>
    <row r="19" spans="1:14" ht="36" x14ac:dyDescent="0.35">
      <c r="B19" s="98" t="s">
        <v>7</v>
      </c>
      <c r="C19" s="99"/>
      <c r="D19" s="98" t="s">
        <v>8</v>
      </c>
      <c r="E19" s="99"/>
      <c r="F19" s="29" t="s">
        <v>36</v>
      </c>
      <c r="I19" s="94" t="s">
        <v>40</v>
      </c>
      <c r="J19" s="95"/>
      <c r="L19" s="94" t="s">
        <v>44</v>
      </c>
      <c r="M19" s="95"/>
      <c r="N19" s="27"/>
    </row>
    <row r="20" spans="1:14" x14ac:dyDescent="0.35">
      <c r="B20" s="32"/>
      <c r="C20" s="33"/>
      <c r="D20" s="32"/>
      <c r="E20" s="33"/>
      <c r="F20" s="30"/>
      <c r="I20" s="24"/>
      <c r="J20" s="28"/>
      <c r="L20" s="24"/>
      <c r="M20" s="28"/>
      <c r="N20" s="27"/>
    </row>
    <row r="21" spans="1:14" s="58" customFormat="1" ht="46.8" x14ac:dyDescent="0.45">
      <c r="A21" s="63" t="s">
        <v>13</v>
      </c>
      <c r="B21" s="64">
        <f>E14*E18</f>
        <v>300</v>
      </c>
      <c r="C21" s="65" t="s">
        <v>4</v>
      </c>
      <c r="D21" s="64" cm="1">
        <f t="array" ref="D21">_xlfn.IFS(E15&lt;=8,E17*E15/100,E15&lt;8,E17*E15/100,E15&gt;13,E17*(E15-5)/100,E15=13,E17*(E15-5)/100,AND(E15&gt;8,E15&lt;13),(E15-(E15-8))*E17/100)</f>
        <v>250</v>
      </c>
      <c r="E21" s="65" t="s">
        <v>4</v>
      </c>
      <c r="F21" s="61">
        <f>B21-D21</f>
        <v>50</v>
      </c>
      <c r="G21" s="62" t="s">
        <v>4</v>
      </c>
      <c r="I21" s="64">
        <f>I14*E18</f>
        <v>190</v>
      </c>
      <c r="J21" s="65" t="s">
        <v>4</v>
      </c>
      <c r="L21" s="64">
        <f>M14*M18</f>
        <v>200</v>
      </c>
      <c r="M21" s="65" t="s">
        <v>4</v>
      </c>
      <c r="N21" s="57"/>
    </row>
    <row r="22" spans="1:14" ht="36" x14ac:dyDescent="0.35">
      <c r="A22" s="34" t="s">
        <v>14</v>
      </c>
      <c r="B22" s="24">
        <f>J13</f>
        <v>51.15</v>
      </c>
      <c r="C22" s="28" t="s">
        <v>4</v>
      </c>
      <c r="D22" s="24">
        <f>B22</f>
        <v>51.15</v>
      </c>
      <c r="E22" s="28" t="s">
        <v>4</v>
      </c>
      <c r="F22" s="31">
        <f>B22-D22</f>
        <v>0</v>
      </c>
      <c r="G22" s="3" t="s">
        <v>4</v>
      </c>
      <c r="I22" s="24">
        <f>B22</f>
        <v>51.15</v>
      </c>
      <c r="J22" s="28" t="s">
        <v>4</v>
      </c>
      <c r="L22" s="24">
        <f>B22</f>
        <v>51.15</v>
      </c>
      <c r="M22" s="28" t="s">
        <v>4</v>
      </c>
      <c r="N22" s="27"/>
    </row>
    <row r="23" spans="1:14" x14ac:dyDescent="0.35">
      <c r="A23" s="34" t="s">
        <v>31</v>
      </c>
      <c r="B23" s="24">
        <f>B9</f>
        <v>5</v>
      </c>
      <c r="C23" s="28" t="s">
        <v>4</v>
      </c>
      <c r="D23" s="24">
        <f>B9</f>
        <v>5</v>
      </c>
      <c r="E23" s="28" t="s">
        <v>4</v>
      </c>
      <c r="F23" s="31"/>
      <c r="G23" s="3"/>
      <c r="I23" s="24">
        <f>B9</f>
        <v>5</v>
      </c>
      <c r="J23" s="28" t="s">
        <v>4</v>
      </c>
      <c r="L23" s="24">
        <f>B9</f>
        <v>5</v>
      </c>
      <c r="M23" s="28" t="s">
        <v>4</v>
      </c>
      <c r="N23" s="27"/>
    </row>
    <row r="24" spans="1:14" x14ac:dyDescent="0.35">
      <c r="A24" s="34" t="s">
        <v>16</v>
      </c>
      <c r="B24" s="24">
        <f>(B22+B21+B23)*1.2-SUM(B21:B23)</f>
        <v>71.229999999999961</v>
      </c>
      <c r="C24" s="28" t="s">
        <v>4</v>
      </c>
      <c r="D24" s="24">
        <f t="shared" ref="D24" si="0">(D22+D21+D23)*1.2-SUM(D21:D23)</f>
        <v>61.229999999999961</v>
      </c>
      <c r="E24" s="28" t="s">
        <v>4</v>
      </c>
      <c r="F24" s="31"/>
      <c r="G24" s="3"/>
      <c r="I24" s="24">
        <f>(I22+I21+I23)*1.2-SUM(I21:I23)</f>
        <v>49.22999999999999</v>
      </c>
      <c r="J24" s="28" t="s">
        <v>4</v>
      </c>
      <c r="L24" s="24">
        <f>(L22+L21+L23)*1.2-SUM(L21:L23)</f>
        <v>51.229999999999961</v>
      </c>
      <c r="M24" s="28" t="s">
        <v>4</v>
      </c>
      <c r="N24" s="27"/>
    </row>
    <row r="25" spans="1:14" s="54" customFormat="1" ht="23.4" x14ac:dyDescent="0.45">
      <c r="A25" s="49" t="s">
        <v>15</v>
      </c>
      <c r="B25" s="50">
        <f>B22+B21+B24</f>
        <v>422.37999999999994</v>
      </c>
      <c r="C25" s="51" t="s">
        <v>4</v>
      </c>
      <c r="D25" s="50">
        <f>D22+D21+D24</f>
        <v>362.37999999999994</v>
      </c>
      <c r="E25" s="51" t="s">
        <v>4</v>
      </c>
      <c r="F25" s="52">
        <f>B25-D25</f>
        <v>60</v>
      </c>
      <c r="G25" s="53" t="s">
        <v>4</v>
      </c>
      <c r="I25" s="50">
        <f>I22+I21+I24</f>
        <v>290.38</v>
      </c>
      <c r="J25" s="51" t="s">
        <v>4</v>
      </c>
      <c r="L25" s="50">
        <f>L22+L21+L24</f>
        <v>302.38</v>
      </c>
      <c r="M25" s="51" t="s">
        <v>4</v>
      </c>
      <c r="N25" s="55"/>
    </row>
    <row r="26" spans="1:14" x14ac:dyDescent="0.35">
      <c r="B26" s="26"/>
      <c r="C26" s="25"/>
      <c r="D26" s="26"/>
      <c r="E26" s="25"/>
      <c r="I26" s="26"/>
      <c r="J26" s="25"/>
      <c r="L26" s="26"/>
      <c r="M26" s="25"/>
      <c r="N26" s="27"/>
    </row>
    <row r="27" spans="1:14" x14ac:dyDescent="0.35">
      <c r="B27" s="26"/>
      <c r="C27" s="25"/>
      <c r="D27" s="26"/>
      <c r="E27" s="25"/>
      <c r="I27" s="26"/>
      <c r="J27" s="25"/>
      <c r="L27" s="26"/>
      <c r="M27" s="25"/>
      <c r="N27" s="27"/>
    </row>
    <row r="28" spans="1:14" s="58" customFormat="1" ht="47.4" thickBot="1" x14ac:dyDescent="0.5">
      <c r="A28" s="66" t="s">
        <v>41</v>
      </c>
      <c r="B28" s="67">
        <f>B25-$B$25</f>
        <v>0</v>
      </c>
      <c r="C28" s="68"/>
      <c r="D28" s="69">
        <f>D25-$B$25</f>
        <v>-60</v>
      </c>
      <c r="E28" s="70" t="s">
        <v>42</v>
      </c>
      <c r="F28" s="56"/>
      <c r="G28" s="56"/>
      <c r="H28" s="56"/>
      <c r="I28" s="69">
        <f>I25-$B$25</f>
        <v>-131.99999999999994</v>
      </c>
      <c r="J28" s="70" t="s">
        <v>42</v>
      </c>
      <c r="K28" s="56"/>
      <c r="L28" s="69">
        <f>L25-$B$25</f>
        <v>-119.99999999999994</v>
      </c>
      <c r="M28" s="70" t="s">
        <v>42</v>
      </c>
      <c r="N28" s="57"/>
    </row>
    <row r="29" spans="1:14" x14ac:dyDescent="0.35">
      <c r="E29" s="2" t="s">
        <v>57</v>
      </c>
      <c r="J29" s="2" t="s">
        <v>57</v>
      </c>
      <c r="M29" s="2" t="s">
        <v>57</v>
      </c>
    </row>
  </sheetData>
  <mergeCells count="7">
    <mergeCell ref="A1:J1"/>
    <mergeCell ref="I19:J19"/>
    <mergeCell ref="L19:M19"/>
    <mergeCell ref="D9:D11"/>
    <mergeCell ref="A14:B14"/>
    <mergeCell ref="B19:C19"/>
    <mergeCell ref="D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4837-B203-49E0-B2F8-FBF169FC08CC}">
  <dimension ref="B1:M19"/>
  <sheetViews>
    <sheetView showGridLines="0" topLeftCell="A7" workbookViewId="0">
      <selection activeCell="F15" sqref="F15"/>
    </sheetView>
  </sheetViews>
  <sheetFormatPr defaultRowHeight="14.4" x14ac:dyDescent="0.3"/>
  <cols>
    <col min="2" max="2" width="24" customWidth="1"/>
    <col min="3" max="3" width="19.21875" bestFit="1" customWidth="1"/>
    <col min="4" max="4" width="19.21875" customWidth="1"/>
    <col min="5" max="5" width="14.21875" customWidth="1"/>
    <col min="6" max="6" width="23.33203125" bestFit="1" customWidth="1"/>
    <col min="7" max="7" width="17" bestFit="1" customWidth="1"/>
    <col min="8" max="8" width="17.44140625" bestFit="1" customWidth="1"/>
    <col min="9" max="9" width="10.44140625" bestFit="1" customWidth="1"/>
    <col min="12" max="12" width="11.77734375" customWidth="1"/>
  </cols>
  <sheetData>
    <row r="1" spans="2:13" ht="15.6" customHeight="1" x14ac:dyDescent="0.3">
      <c r="B1" s="100" t="s">
        <v>37</v>
      </c>
      <c r="C1" s="100"/>
      <c r="D1" s="100"/>
      <c r="E1" s="100"/>
      <c r="F1" s="100"/>
      <c r="G1" s="100"/>
      <c r="H1" s="100"/>
      <c r="I1" s="100"/>
      <c r="J1" s="100"/>
      <c r="K1" s="100"/>
      <c r="L1" s="100"/>
      <c r="M1" s="100"/>
    </row>
    <row r="2" spans="2:13" ht="21" customHeight="1" x14ac:dyDescent="0.3">
      <c r="B2" s="100"/>
      <c r="C2" s="100"/>
      <c r="D2" s="100"/>
      <c r="E2" s="100"/>
      <c r="F2" s="100"/>
      <c r="G2" s="100"/>
      <c r="H2" s="100"/>
      <c r="I2" s="100"/>
      <c r="J2" s="100"/>
      <c r="K2" s="100"/>
      <c r="L2" s="100"/>
      <c r="M2" s="100"/>
    </row>
    <row r="4" spans="2:13" x14ac:dyDescent="0.3">
      <c r="H4" s="88">
        <v>1000</v>
      </c>
      <c r="I4" s="88">
        <v>80</v>
      </c>
      <c r="J4" s="88" t="s">
        <v>54</v>
      </c>
    </row>
    <row r="5" spans="2:13" x14ac:dyDescent="0.3">
      <c r="B5" s="21" t="s">
        <v>21</v>
      </c>
      <c r="C5" s="22">
        <v>400</v>
      </c>
      <c r="D5" s="21" t="s">
        <v>11</v>
      </c>
      <c r="E5" s="21" t="s">
        <v>21</v>
      </c>
      <c r="F5" s="87">
        <v>0.47799999999999998</v>
      </c>
      <c r="G5" s="21" t="s">
        <v>53</v>
      </c>
      <c r="H5" s="89">
        <f>H4/G10</f>
        <v>96.807692307692705</v>
      </c>
      <c r="I5" s="89">
        <v>80</v>
      </c>
      <c r="J5" s="88" t="s">
        <v>54</v>
      </c>
    </row>
    <row r="6" spans="2:13" x14ac:dyDescent="0.3">
      <c r="B6" s="84" t="s">
        <v>51</v>
      </c>
      <c r="C6" s="85">
        <v>2.6</v>
      </c>
      <c r="D6" s="86" t="s">
        <v>17</v>
      </c>
      <c r="E6" s="84" t="s">
        <v>51</v>
      </c>
      <c r="F6" s="84">
        <v>251.7</v>
      </c>
      <c r="G6" s="84" t="s">
        <v>50</v>
      </c>
    </row>
    <row r="7" spans="2:13" x14ac:dyDescent="0.3">
      <c r="B7" s="90">
        <v>80</v>
      </c>
      <c r="C7" s="86" t="s">
        <v>11</v>
      </c>
      <c r="D7" s="86" t="s">
        <v>56</v>
      </c>
      <c r="E7" s="90">
        <f>I5/H5</f>
        <v>0.82638061183948808</v>
      </c>
      <c r="F7" s="86" t="s">
        <v>55</v>
      </c>
      <c r="G7" s="86" t="s">
        <v>56</v>
      </c>
      <c r="H7" s="92"/>
      <c r="I7" s="91"/>
      <c r="J7" s="91"/>
    </row>
    <row r="8" spans="2:13" x14ac:dyDescent="0.3">
      <c r="H8" s="9"/>
      <c r="I8" s="9"/>
      <c r="J8" s="9"/>
      <c r="K8" s="9"/>
      <c r="L8" s="9"/>
      <c r="M8" s="9"/>
    </row>
    <row r="9" spans="2:13" ht="28.8" x14ac:dyDescent="0.3">
      <c r="B9" s="21" t="s">
        <v>26</v>
      </c>
      <c r="C9" s="22">
        <v>1000</v>
      </c>
      <c r="D9" s="21" t="s">
        <v>27</v>
      </c>
      <c r="F9" s="82" t="s">
        <v>52</v>
      </c>
      <c r="G9" s="83">
        <v>400</v>
      </c>
      <c r="K9" s="9"/>
      <c r="L9" s="9"/>
      <c r="M9" s="9"/>
    </row>
    <row r="10" spans="2:13" x14ac:dyDescent="0.3">
      <c r="B10" s="21"/>
      <c r="C10" s="21">
        <f>C9/1000</f>
        <v>1</v>
      </c>
      <c r="D10" s="21" t="s">
        <v>17</v>
      </c>
      <c r="F10" s="79" t="s">
        <v>49</v>
      </c>
      <c r="G10" s="80">
        <v>10.329757647993601</v>
      </c>
      <c r="H10" s="74"/>
      <c r="I10" s="9"/>
      <c r="J10" s="9"/>
      <c r="K10" s="9"/>
      <c r="L10" s="9"/>
      <c r="M10" s="9"/>
    </row>
    <row r="11" spans="2:13" x14ac:dyDescent="0.3">
      <c r="F11" s="21"/>
      <c r="G11" s="81">
        <f>G9*G10/1000</f>
        <v>4.1319030591974402</v>
      </c>
      <c r="H11" s="75" t="s">
        <v>17</v>
      </c>
      <c r="I11" s="9"/>
      <c r="J11" s="9"/>
      <c r="K11" s="9"/>
      <c r="L11" s="9"/>
      <c r="M11" s="9"/>
    </row>
    <row r="12" spans="2:13" ht="15" thickBot="1" x14ac:dyDescent="0.35">
      <c r="H12" s="9"/>
      <c r="I12" s="9"/>
      <c r="J12" s="9"/>
      <c r="K12" s="9"/>
      <c r="L12" s="9"/>
      <c r="M12" s="9"/>
    </row>
    <row r="13" spans="2:13" ht="15" thickBot="1" x14ac:dyDescent="0.35">
      <c r="B13" s="10" t="s">
        <v>18</v>
      </c>
      <c r="C13" s="11" t="s">
        <v>19</v>
      </c>
      <c r="D13" s="11" t="s">
        <v>20</v>
      </c>
      <c r="E13" t="s">
        <v>29</v>
      </c>
      <c r="F13" s="10" t="s">
        <v>18</v>
      </c>
      <c r="G13" s="11" t="s">
        <v>19</v>
      </c>
      <c r="H13" s="11" t="s">
        <v>20</v>
      </c>
      <c r="I13" t="s">
        <v>29</v>
      </c>
      <c r="J13" s="9"/>
      <c r="K13" s="9"/>
      <c r="L13" s="9"/>
      <c r="M13" s="9"/>
    </row>
    <row r="14" spans="2:13" ht="15" thickBot="1" x14ac:dyDescent="0.35">
      <c r="B14" s="12" t="s">
        <v>28</v>
      </c>
      <c r="C14" s="13">
        <f>C5*C10</f>
        <v>400</v>
      </c>
      <c r="D14" s="77" cm="1">
        <f t="array" ref="D14">_xlfn.IFS(C5&lt;80,C10*C5,C5=80,C10*C5,AND(C5&gt;80,C9&lt;2600),C10*(C5-80)*0.2+C10*80,C9&gt;2600,2.6*(C5-80)*0.2+2.6*80+(C10-2.6)*C5,AND(C5&gt;80,C9=2600),C10*(C5-80)*0.2+C10*80)</f>
        <v>144</v>
      </c>
      <c r="F14" s="12" t="s">
        <v>28</v>
      </c>
      <c r="G14" s="76">
        <f>G9*F5</f>
        <v>191.2</v>
      </c>
      <c r="H14" s="77" cm="1">
        <f t="array" ref="H14">_xlfn.IFS(AND(F5&lt;E7,G9&lt;F6),G9*F5,AND(F5&lt;E7,G9=F6),G9*F5,AND(F5&lt;E7,G9&gt;F6),G9*F5,AND(F5=E7,G9&lt;F6),G9*F5,AND(F5=E7,G9=F6),G9*F5,AND(F5=E7,G9&gt;F6),G9*F5,AND(F5&gt;E7,G9&lt;F6),G9*E7+(F5-E7)*G9*0.2,AND(F5&gt;E7,G9=F6),G9*E7+(F5-E7)*G9*0.2,AND(F5&gt;E7,G9&gt;E7),F6*E7+(F5-E7)*F6*0.2+(G9-F6)*F5)</f>
        <v>191.2</v>
      </c>
    </row>
    <row r="15" spans="2:13" ht="15" thickBot="1" x14ac:dyDescent="0.35">
      <c r="B15" s="12" t="s">
        <v>22</v>
      </c>
      <c r="C15" s="77">
        <f>7.5*C10</f>
        <v>7.5</v>
      </c>
      <c r="D15" s="77">
        <f>7.5*C10</f>
        <v>7.5</v>
      </c>
      <c r="F15" s="12" t="s">
        <v>22</v>
      </c>
      <c r="G15" s="76">
        <f>7.5*G10*G9/1000</f>
        <v>30.989272943980804</v>
      </c>
      <c r="H15" s="77">
        <f>G15</f>
        <v>30.989272943980804</v>
      </c>
    </row>
    <row r="16" spans="2:13" ht="15" thickBot="1" x14ac:dyDescent="0.35">
      <c r="B16" s="12" t="s">
        <v>23</v>
      </c>
      <c r="C16" s="77">
        <f>3.8*C10</f>
        <v>3.8</v>
      </c>
      <c r="D16" s="77">
        <f>3.8*C10</f>
        <v>3.8</v>
      </c>
      <c r="F16" s="12" t="s">
        <v>23</v>
      </c>
      <c r="G16" s="76">
        <f>3.8*G10*G9/1000</f>
        <v>15.701231624950273</v>
      </c>
      <c r="H16" s="77">
        <f>G16</f>
        <v>15.701231624950273</v>
      </c>
    </row>
    <row r="17" spans="2:9" ht="15" thickBot="1" x14ac:dyDescent="0.35">
      <c r="B17" s="12" t="s">
        <v>24</v>
      </c>
      <c r="C17" s="77">
        <f>SUM(C14:C16)*1.2-SUM(C14:C16)</f>
        <v>82.259999999999991</v>
      </c>
      <c r="D17" s="77">
        <f>SUM(D14:D16)*1.2-SUM(D14:D16)</f>
        <v>31.060000000000002</v>
      </c>
      <c r="F17" s="12" t="s">
        <v>24</v>
      </c>
      <c r="G17" s="77">
        <f>SUM(G14:G16)*1.2-SUM(G14:G16)</f>
        <v>47.578100913786216</v>
      </c>
      <c r="H17" s="77">
        <f>SUM(H14:H16)*1.2-SUM(H14:H16)</f>
        <v>47.578100913786216</v>
      </c>
    </row>
    <row r="18" spans="2:9" ht="15" thickBot="1" x14ac:dyDescent="0.35">
      <c r="B18" s="14" t="s">
        <v>25</v>
      </c>
      <c r="C18" s="78">
        <f>C17+C16+C15+C14</f>
        <v>493.56</v>
      </c>
      <c r="D18" s="78">
        <f>D17+D16+D15+D14</f>
        <v>186.36</v>
      </c>
      <c r="E18" s="19">
        <f>C18-D18</f>
        <v>307.2</v>
      </c>
      <c r="F18" s="14" t="s">
        <v>25</v>
      </c>
      <c r="G18" s="78">
        <f>G17+G16+G15+G14</f>
        <v>285.46860548271729</v>
      </c>
      <c r="H18" s="78">
        <f>H17+H16+H15+H14</f>
        <v>285.46860548271729</v>
      </c>
      <c r="I18" s="19">
        <f>G18-H18</f>
        <v>0</v>
      </c>
    </row>
    <row r="19" spans="2:9" ht="15" thickBot="1" x14ac:dyDescent="0.35">
      <c r="B19" s="16"/>
      <c r="C19" s="17"/>
      <c r="D19" s="18"/>
      <c r="E19" s="20">
        <f>E18/C18</f>
        <v>0.62241672744955023</v>
      </c>
      <c r="F19" s="16"/>
      <c r="G19" s="17"/>
      <c r="H19" s="18"/>
      <c r="I19" s="20">
        <f>I18/G18</f>
        <v>0</v>
      </c>
    </row>
  </sheetData>
  <mergeCells count="1">
    <mergeCell ref="B1:M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98045-13BF-48EF-BD49-2E93762B0690}">
  <dimension ref="B1:F12"/>
  <sheetViews>
    <sheetView showGridLines="0" workbookViewId="0">
      <selection activeCell="E9" sqref="E9"/>
    </sheetView>
  </sheetViews>
  <sheetFormatPr defaultRowHeight="14.4" x14ac:dyDescent="0.3"/>
  <cols>
    <col min="2" max="2" width="24.77734375" customWidth="1"/>
    <col min="3" max="3" width="18" customWidth="1"/>
    <col min="4" max="4" width="19" customWidth="1"/>
    <col min="5" max="5" width="17.5546875" customWidth="1"/>
  </cols>
  <sheetData>
    <row r="1" spans="2:6" ht="35.549999999999997" customHeight="1" x14ac:dyDescent="0.3">
      <c r="B1" s="101" t="s">
        <v>32</v>
      </c>
      <c r="C1" s="101"/>
      <c r="D1" s="101"/>
      <c r="E1" s="101"/>
      <c r="F1" s="101"/>
    </row>
    <row r="3" spans="2:6" x14ac:dyDescent="0.3">
      <c r="B3" s="21" t="s">
        <v>26</v>
      </c>
      <c r="C3" s="22">
        <v>1000</v>
      </c>
      <c r="D3" s="21" t="s">
        <v>27</v>
      </c>
    </row>
    <row r="4" spans="2:6" x14ac:dyDescent="0.3">
      <c r="B4" s="21"/>
      <c r="C4" s="21">
        <f>C3/1000</f>
        <v>1</v>
      </c>
      <c r="D4" s="21" t="s">
        <v>17</v>
      </c>
    </row>
    <row r="5" spans="2:6" x14ac:dyDescent="0.3">
      <c r="B5" s="21" t="s">
        <v>30</v>
      </c>
      <c r="C5" s="22">
        <v>97.15</v>
      </c>
      <c r="D5" s="21" t="s">
        <v>11</v>
      </c>
    </row>
    <row r="7" spans="2:6" ht="15" thickBot="1" x14ac:dyDescent="0.35"/>
    <row r="8" spans="2:6" ht="15" thickBot="1" x14ac:dyDescent="0.35">
      <c r="B8" s="10" t="s">
        <v>58</v>
      </c>
      <c r="C8" s="11" t="s">
        <v>19</v>
      </c>
      <c r="D8" s="11" t="s">
        <v>20</v>
      </c>
      <c r="E8" t="s">
        <v>29</v>
      </c>
    </row>
    <row r="9" spans="2:6" ht="15" thickBot="1" x14ac:dyDescent="0.35">
      <c r="B9" s="12" t="s">
        <v>28</v>
      </c>
      <c r="C9" s="13">
        <f>C5*C4</f>
        <v>97.15</v>
      </c>
      <c r="D9" s="13" cm="1">
        <f t="array" ref="D9">_xlfn.IFS(C5&lt;80,C4*C5,C5=80,C4*C5,C5&gt;80,C4*80+(C5-80)*0.2*C4,C3&gt;2600,2.6*(C5-80)*0.2+2.6*80+(C4-2.6)*C5,AND(C5&gt;80,C3=2600),C4*(C5-80)*0.2+C4*80)</f>
        <v>83.43</v>
      </c>
    </row>
    <row r="10" spans="2:6" ht="15" thickBot="1" x14ac:dyDescent="0.35">
      <c r="B10" s="12" t="s">
        <v>24</v>
      </c>
      <c r="C10" s="13">
        <f>SUM(C9:C9)*1.2-SUM(C9:C9)</f>
        <v>19.429999999999993</v>
      </c>
      <c r="D10" s="13">
        <f>SUM(D9:D9)*1.2-SUM(D9:D9)</f>
        <v>16.685999999999993</v>
      </c>
    </row>
    <row r="11" spans="2:6" ht="15" thickBot="1" x14ac:dyDescent="0.35">
      <c r="B11" s="14" t="s">
        <v>25</v>
      </c>
      <c r="C11" s="15">
        <f>C10+C9</f>
        <v>116.58</v>
      </c>
      <c r="D11" s="15">
        <f>D10+D9</f>
        <v>100.116</v>
      </c>
      <c r="E11" s="19">
        <f>C11-D11</f>
        <v>16.463999999999999</v>
      </c>
    </row>
    <row r="12" spans="2:6" ht="15" thickBot="1" x14ac:dyDescent="0.35">
      <c r="B12" s="16"/>
      <c r="C12" s="17"/>
      <c r="D12" s="18"/>
      <c r="E12" s="20">
        <f>E11/C11</f>
        <v>0.14122490993309314</v>
      </c>
    </row>
  </sheetData>
  <mergeCells count="1">
    <mergeCell ref="B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Elekter</vt:lpstr>
      <vt:lpstr>Gaas</vt:lpstr>
      <vt:lpstr>Soojus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Kristjan Lepp</dc:creator>
  <cp:lastModifiedBy>Kadri Laube</cp:lastModifiedBy>
  <dcterms:created xsi:type="dcterms:W3CDTF">2022-09-08T12:12:45Z</dcterms:created>
  <dcterms:modified xsi:type="dcterms:W3CDTF">2022-10-01T08:16:55Z</dcterms:modified>
</cp:coreProperties>
</file>